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Лист1" sheetId="1" r:id="rId1"/>
    <sheet name="Лист2" sheetId="2" r:id="rId2"/>
    <sheet name="Лист3" sheetId="3" r:id="rId3"/>
  </sheets>
  <calcPr calcId="144525"/>
</workbook>
</file>

<file path=xl/calcChain.xml><?xml version="1.0" encoding="utf-8"?>
<calcChain xmlns="http://schemas.openxmlformats.org/spreadsheetml/2006/main">
  <c r="R22" i="1" l="1"/>
  <c r="R16" i="1"/>
  <c r="P7" i="1" l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E9" i="1" l="1"/>
  <c r="E10" i="1"/>
  <c r="E8" i="1"/>
  <c r="D10" i="1"/>
  <c r="D9" i="1"/>
  <c r="D8" i="1"/>
  <c r="F9" i="1" l="1"/>
  <c r="F10" i="1"/>
  <c r="B8" i="1" l="1"/>
  <c r="B9" i="1" s="1"/>
  <c r="B10" i="1" l="1"/>
  <c r="M34" i="1" l="1"/>
  <c r="N34" i="1" s="1"/>
  <c r="J34" i="1" s="1"/>
  <c r="K34" i="1" s="1"/>
  <c r="O34" i="1" s="1"/>
  <c r="L34" i="1" s="1"/>
  <c r="M18" i="1"/>
  <c r="N18" i="1" s="1"/>
  <c r="J18" i="1" s="1"/>
  <c r="K18" i="1" s="1"/>
  <c r="O18" i="1" s="1"/>
  <c r="L18" i="1" s="1"/>
  <c r="M36" i="1"/>
  <c r="N36" i="1" s="1"/>
  <c r="J36" i="1" s="1"/>
  <c r="K36" i="1" s="1"/>
  <c r="O36" i="1" s="1"/>
  <c r="L36" i="1" s="1"/>
  <c r="M25" i="1"/>
  <c r="N25" i="1" s="1"/>
  <c r="J25" i="1" s="1"/>
  <c r="K25" i="1" s="1"/>
  <c r="O25" i="1" s="1"/>
  <c r="L25" i="1" s="1"/>
  <c r="M9" i="1"/>
  <c r="N9" i="1" s="1"/>
  <c r="J9" i="1" s="1"/>
  <c r="K9" i="1" s="1"/>
  <c r="O9" i="1" s="1"/>
  <c r="L9" i="1" s="1"/>
  <c r="M20" i="1"/>
  <c r="N20" i="1" s="1"/>
  <c r="J20" i="1" s="1"/>
  <c r="K20" i="1" s="1"/>
  <c r="O20" i="1" s="1"/>
  <c r="L20" i="1" s="1"/>
  <c r="M35" i="1"/>
  <c r="N35" i="1" s="1"/>
  <c r="J35" i="1" s="1"/>
  <c r="K35" i="1" s="1"/>
  <c r="O35" i="1" s="1"/>
  <c r="L35" i="1" s="1"/>
  <c r="M19" i="1"/>
  <c r="N19" i="1" s="1"/>
  <c r="J19" i="1" s="1"/>
  <c r="K19" i="1" s="1"/>
  <c r="O19" i="1" s="1"/>
  <c r="L19" i="1" s="1"/>
  <c r="M28" i="1"/>
  <c r="N28" i="1" s="1"/>
  <c r="J28" i="1" s="1"/>
  <c r="K28" i="1" s="1"/>
  <c r="O28" i="1" s="1"/>
  <c r="L28" i="1" s="1"/>
  <c r="M27" i="1"/>
  <c r="N27" i="1" s="1"/>
  <c r="J27" i="1" s="1"/>
  <c r="K27" i="1" s="1"/>
  <c r="O27" i="1" s="1"/>
  <c r="L27" i="1" s="1"/>
  <c r="M6" i="1"/>
  <c r="N6" i="1" s="1"/>
  <c r="M13" i="1"/>
  <c r="N13" i="1" s="1"/>
  <c r="J13" i="1" s="1"/>
  <c r="K13" i="1" s="1"/>
  <c r="O13" i="1" s="1"/>
  <c r="L13" i="1" s="1"/>
  <c r="M8" i="1"/>
  <c r="N8" i="1" s="1"/>
  <c r="M30" i="1"/>
  <c r="N30" i="1" s="1"/>
  <c r="J30" i="1" s="1"/>
  <c r="K30" i="1" s="1"/>
  <c r="O30" i="1" s="1"/>
  <c r="L30" i="1" s="1"/>
  <c r="M14" i="1"/>
  <c r="N14" i="1" s="1"/>
  <c r="J14" i="1" s="1"/>
  <c r="K14" i="1" s="1"/>
  <c r="O14" i="1" s="1"/>
  <c r="L14" i="1" s="1"/>
  <c r="M37" i="1"/>
  <c r="N37" i="1" s="1"/>
  <c r="J37" i="1" s="1"/>
  <c r="K37" i="1" s="1"/>
  <c r="O37" i="1" s="1"/>
  <c r="L37" i="1" s="1"/>
  <c r="M21" i="1"/>
  <c r="N21" i="1" s="1"/>
  <c r="J21" i="1" s="1"/>
  <c r="K21" i="1" s="1"/>
  <c r="O21" i="1" s="1"/>
  <c r="L21" i="1" s="1"/>
  <c r="M32" i="1"/>
  <c r="N32" i="1" s="1"/>
  <c r="J32" i="1" s="1"/>
  <c r="K32" i="1" s="1"/>
  <c r="O32" i="1" s="1"/>
  <c r="L32" i="1" s="1"/>
  <c r="M16" i="1"/>
  <c r="N16" i="1" s="1"/>
  <c r="J16" i="1" s="1"/>
  <c r="K16" i="1" s="1"/>
  <c r="O16" i="1" s="1"/>
  <c r="L16" i="1" s="1"/>
  <c r="M31" i="1"/>
  <c r="N31" i="1" s="1"/>
  <c r="J31" i="1" s="1"/>
  <c r="K31" i="1" s="1"/>
  <c r="O31" i="1" s="1"/>
  <c r="L31" i="1" s="1"/>
  <c r="M15" i="1"/>
  <c r="N15" i="1" s="1"/>
  <c r="J15" i="1" s="1"/>
  <c r="K15" i="1" s="1"/>
  <c r="O15" i="1" s="1"/>
  <c r="L15" i="1" s="1"/>
  <c r="M12" i="1"/>
  <c r="N12" i="1" s="1"/>
  <c r="J12" i="1" s="1"/>
  <c r="K12" i="1" s="1"/>
  <c r="O12" i="1" s="1"/>
  <c r="L12" i="1" s="1"/>
  <c r="M11" i="1"/>
  <c r="N11" i="1" s="1"/>
  <c r="J11" i="1" s="1"/>
  <c r="K11" i="1" s="1"/>
  <c r="O11" i="1" s="1"/>
  <c r="L11" i="1" s="1"/>
  <c r="M29" i="1"/>
  <c r="N29" i="1" s="1"/>
  <c r="J29" i="1" s="1"/>
  <c r="K29" i="1" s="1"/>
  <c r="O29" i="1" s="1"/>
  <c r="L29" i="1" s="1"/>
  <c r="M24" i="1"/>
  <c r="N24" i="1" s="1"/>
  <c r="J24" i="1" s="1"/>
  <c r="K24" i="1" s="1"/>
  <c r="O24" i="1" s="1"/>
  <c r="L24" i="1" s="1"/>
  <c r="M23" i="1"/>
  <c r="N23" i="1" s="1"/>
  <c r="M26" i="1"/>
  <c r="N26" i="1" s="1"/>
  <c r="J26" i="1" s="1"/>
  <c r="K26" i="1" s="1"/>
  <c r="O26" i="1" s="1"/>
  <c r="L26" i="1" s="1"/>
  <c r="M10" i="1"/>
  <c r="N10" i="1" s="1"/>
  <c r="J10" i="1" s="1"/>
  <c r="K10" i="1" s="1"/>
  <c r="O10" i="1" s="1"/>
  <c r="L10" i="1" s="1"/>
  <c r="M33" i="1"/>
  <c r="N33" i="1" s="1"/>
  <c r="J33" i="1" s="1"/>
  <c r="K33" i="1" s="1"/>
  <c r="O33" i="1" s="1"/>
  <c r="L33" i="1" s="1"/>
  <c r="M17" i="1"/>
  <c r="N17" i="1" s="1"/>
  <c r="J17" i="1" s="1"/>
  <c r="K17" i="1" s="1"/>
  <c r="O17" i="1" s="1"/>
  <c r="L17" i="1" s="1"/>
  <c r="M22" i="1"/>
  <c r="N22" i="1" s="1"/>
  <c r="J22" i="1" s="1"/>
  <c r="K22" i="1" s="1"/>
  <c r="O22" i="1" s="1"/>
  <c r="L22" i="1" s="1"/>
  <c r="M7" i="1"/>
  <c r="N7" i="1" s="1"/>
  <c r="J6" i="1" l="1"/>
  <c r="K6" i="1" s="1"/>
  <c r="O6" i="1" s="1"/>
  <c r="L6" i="1" s="1"/>
  <c r="J23" i="1"/>
  <c r="K23" i="1" s="1"/>
  <c r="O23" i="1" s="1"/>
  <c r="L23" i="1" s="1"/>
  <c r="J8" i="1"/>
  <c r="K8" i="1" s="1"/>
  <c r="O8" i="1" s="1"/>
  <c r="L8" i="1" s="1"/>
  <c r="J7" i="1"/>
  <c r="K7" i="1" s="1"/>
  <c r="O7" i="1" s="1"/>
  <c r="L7" i="1" s="1"/>
</calcChain>
</file>

<file path=xl/sharedStrings.xml><?xml version="1.0" encoding="utf-8"?>
<sst xmlns="http://schemas.openxmlformats.org/spreadsheetml/2006/main" count="24" uniqueCount="19">
  <si>
    <t>Steinhart–Hart equation parameters</t>
  </si>
  <si>
    <t>Point 1</t>
  </si>
  <si>
    <t>Point 2</t>
  </si>
  <si>
    <t>Point 3</t>
  </si>
  <si>
    <t>R, Ohm</t>
  </si>
  <si>
    <t>A</t>
  </si>
  <si>
    <t>B</t>
  </si>
  <si>
    <t>C</t>
  </si>
  <si>
    <r>
      <t xml:space="preserve">T, </t>
    </r>
    <r>
      <rPr>
        <sz val="11"/>
        <color theme="1"/>
        <rFont val="Calibri"/>
        <family val="2"/>
        <charset val="204"/>
      </rPr>
      <t>°C</t>
    </r>
  </si>
  <si>
    <t>Rt, Ohm</t>
  </si>
  <si>
    <t>Vin, V</t>
  </si>
  <si>
    <t>Vadc, V</t>
  </si>
  <si>
    <t>Adc Value</t>
  </si>
  <si>
    <t>Array Index</t>
  </si>
  <si>
    <t>R1,Ohm</t>
  </si>
  <si>
    <t>ADC bit</t>
  </si>
  <si>
    <t>ADC Table Calculation</t>
  </si>
  <si>
    <t>Vcc, V</t>
  </si>
  <si>
    <t>25,5 =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</si>
</sst>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</font>
    <font>
      <sz val="11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2" fillId="0" borderId="0" xfId="0" applyFont="1"/>
    <xf numFmtId="0" fontId="0" fillId="0" borderId="1" xfId="0" applyBorder="1"/>
    <xf numFmtId="0" fontId="0" fillId="0" borderId="0" xfId="0" applyBorder="1"/>
    <xf numFmtId="0" fontId="0" fillId="0" borderId="2" xfId="0" applyBorder="1"/>
    <xf numFmtId="0" fontId="2" fillId="0" borderId="0" xfId="0" applyFont="1" applyBorder="1"/>
    <xf numFmtId="0" fontId="2" fillId="0" borderId="2" xfId="0" applyFont="1" applyBorder="1"/>
    <xf numFmtId="0" fontId="0" fillId="0" borderId="3" xfId="0" applyBorder="1"/>
    <xf numFmtId="0" fontId="2" fillId="0" borderId="3" xfId="0" applyFont="1" applyBorder="1"/>
    <xf numFmtId="0" fontId="2" fillId="0" borderId="4" xfId="0" applyFont="1" applyBorder="1"/>
    <xf numFmtId="0" fontId="0" fillId="0" borderId="5" xfId="0" applyBorder="1" applyAlignment="1">
      <alignment horizontal="center"/>
    </xf>
    <xf numFmtId="0" fontId="0" fillId="0" borderId="5" xfId="0" applyBorder="1"/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9" xfId="0" applyBorder="1"/>
    <xf numFmtId="0" fontId="0" fillId="0" borderId="10" xfId="0" applyBorder="1"/>
    <xf numFmtId="0" fontId="0" fillId="0" borderId="9" xfId="0" applyBorder="1" applyAlignment="1">
      <alignment horizontal="right"/>
    </xf>
    <xf numFmtId="0" fontId="0" fillId="0" borderId="11" xfId="0" applyBorder="1" applyAlignment="1">
      <alignment horizontal="right"/>
    </xf>
    <xf numFmtId="0" fontId="0" fillId="0" borderId="12" xfId="0" applyBorder="1"/>
    <xf numFmtId="0" fontId="0" fillId="0" borderId="11" xfId="0" applyBorder="1"/>
    <xf numFmtId="0" fontId="0" fillId="0" borderId="5" xfId="0" applyBorder="1" applyAlignment="1">
      <alignment horizontal="center"/>
    </xf>
    <xf numFmtId="0" fontId="4" fillId="0" borderId="6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3" fillId="0" borderId="6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0" fillId="0" borderId="9" xfId="0" applyBorder="1" applyAlignment="1">
      <alignment horizontal="center" wrapText="1"/>
    </xf>
    <xf numFmtId="0" fontId="0" fillId="0" borderId="5" xfId="0" applyBorder="1" applyAlignment="1">
      <alignment horizontal="center" wrapText="1"/>
    </xf>
    <xf numFmtId="0" fontId="5" fillId="0" borderId="2" xfId="0" applyFont="1" applyBorder="1"/>
    <xf numFmtId="0" fontId="5" fillId="0" borderId="4" xfId="0" applyFont="1" applyBorder="1"/>
    <xf numFmtId="0" fontId="0" fillId="0" borderId="0" xfId="0" applyAlignment="1">
      <alignment horizontal="right"/>
    </xf>
  </cellXfs>
  <cellStyles count="1">
    <cellStyle name="Обычный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219077</xdr:colOff>
      <xdr:row>12</xdr:row>
      <xdr:rowOff>154518</xdr:rowOff>
    </xdr:from>
    <xdr:to>
      <xdr:col>6</xdr:col>
      <xdr:colOff>54429</xdr:colOff>
      <xdr:row>22</xdr:row>
      <xdr:rowOff>103414</xdr:rowOff>
    </xdr:to>
    <xdr:pic>
      <xdr:nvPicPr>
        <xdr:cNvPr id="3" name="Рисунок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4656" t="28892" r="26033" b="30102"/>
        <a:stretch/>
      </xdr:blipFill>
      <xdr:spPr>
        <a:xfrm>
          <a:off x="219077" y="2454125"/>
          <a:ext cx="3577316" cy="185389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abSelected="1" topLeftCell="B4" zoomScale="115" zoomScaleNormal="115" workbookViewId="0">
      <selection activeCell="R22" sqref="R22"/>
    </sheetView>
  </sheetViews>
  <sheetFormatPr defaultRowHeight="15" x14ac:dyDescent="0.25"/>
  <cols>
    <col min="2" max="2" width="10.140625" customWidth="1"/>
    <col min="10" max="10" width="12" bestFit="1" customWidth="1"/>
    <col min="11" max="11" width="10" customWidth="1"/>
    <col min="12" max="12" width="12" bestFit="1" customWidth="1"/>
  </cols>
  <sheetData>
    <row r="1" spans="1:18" ht="15" customHeight="1" x14ac:dyDescent="0.25">
      <c r="A1" s="29" t="s">
        <v>0</v>
      </c>
      <c r="B1" s="30"/>
      <c r="C1" s="30"/>
      <c r="D1" s="30"/>
      <c r="E1" s="30"/>
      <c r="F1" s="31"/>
      <c r="H1" s="21" t="s">
        <v>16</v>
      </c>
      <c r="I1" s="22"/>
      <c r="J1" s="22"/>
      <c r="K1" s="22"/>
      <c r="L1" s="22"/>
      <c r="M1" s="22"/>
      <c r="N1" s="22"/>
      <c r="O1" s="22"/>
      <c r="P1" s="23"/>
    </row>
    <row r="2" spans="1:18" x14ac:dyDescent="0.25">
      <c r="A2" s="32"/>
      <c r="B2" s="33"/>
      <c r="C2" s="33"/>
      <c r="D2" s="33"/>
      <c r="E2" s="33"/>
      <c r="F2" s="34"/>
      <c r="H2" s="24"/>
      <c r="I2" s="25"/>
      <c r="J2" s="25"/>
      <c r="K2" s="25"/>
      <c r="L2" s="25"/>
      <c r="M2" s="25"/>
      <c r="N2" s="25"/>
      <c r="O2" s="25"/>
      <c r="P2" s="26"/>
    </row>
    <row r="3" spans="1:18" x14ac:dyDescent="0.25">
      <c r="A3" s="2"/>
      <c r="B3" s="3"/>
      <c r="C3" s="3"/>
      <c r="D3" s="3"/>
      <c r="E3" s="3"/>
      <c r="F3" s="4"/>
      <c r="H3" s="2"/>
      <c r="I3" s="3"/>
      <c r="J3" s="3"/>
      <c r="K3" s="3"/>
      <c r="L3" s="3"/>
      <c r="M3" s="3"/>
      <c r="N3" s="3"/>
      <c r="O3" s="3"/>
      <c r="P3" s="4"/>
    </row>
    <row r="4" spans="1:18" x14ac:dyDescent="0.25">
      <c r="A4" s="27" t="s">
        <v>1</v>
      </c>
      <c r="B4" s="20"/>
      <c r="C4" s="20" t="s">
        <v>2</v>
      </c>
      <c r="D4" s="20"/>
      <c r="E4" s="20" t="s">
        <v>3</v>
      </c>
      <c r="F4" s="28"/>
      <c r="H4" s="35" t="s">
        <v>13</v>
      </c>
      <c r="I4" s="36" t="s">
        <v>8</v>
      </c>
      <c r="J4" s="20" t="s">
        <v>9</v>
      </c>
      <c r="K4" s="20" t="s">
        <v>11</v>
      </c>
      <c r="L4" s="20" t="s">
        <v>12</v>
      </c>
      <c r="M4" s="10" t="s">
        <v>10</v>
      </c>
      <c r="N4" s="10" t="s">
        <v>17</v>
      </c>
      <c r="O4" s="10" t="s">
        <v>14</v>
      </c>
      <c r="P4" s="15" t="s">
        <v>15</v>
      </c>
    </row>
    <row r="5" spans="1:18" x14ac:dyDescent="0.25">
      <c r="A5" s="12" t="s">
        <v>8</v>
      </c>
      <c r="B5" s="10" t="s">
        <v>4</v>
      </c>
      <c r="C5" s="10" t="s">
        <v>8</v>
      </c>
      <c r="D5" s="10" t="s">
        <v>4</v>
      </c>
      <c r="E5" s="10" t="s">
        <v>8</v>
      </c>
      <c r="F5" s="13" t="s">
        <v>4</v>
      </c>
      <c r="H5" s="35"/>
      <c r="I5" s="36"/>
      <c r="J5" s="20"/>
      <c r="K5" s="20"/>
      <c r="L5" s="20"/>
      <c r="M5" s="10">
        <v>5</v>
      </c>
      <c r="N5" s="10">
        <v>3.3</v>
      </c>
      <c r="O5" s="10">
        <v>10000</v>
      </c>
      <c r="P5" s="15">
        <v>12</v>
      </c>
    </row>
    <row r="6" spans="1:18" x14ac:dyDescent="0.25">
      <c r="A6" s="14">
        <v>10</v>
      </c>
      <c r="B6" s="11">
        <v>19870</v>
      </c>
      <c r="C6" s="11">
        <v>25</v>
      </c>
      <c r="D6" s="11">
        <v>10000</v>
      </c>
      <c r="E6" s="11">
        <v>40</v>
      </c>
      <c r="F6" s="15">
        <v>5330</v>
      </c>
      <c r="H6" s="14">
        <v>0</v>
      </c>
      <c r="I6" s="11">
        <v>10</v>
      </c>
      <c r="J6" s="11">
        <f>EXP(((N6-(M6/2))^(1/3))-((N6+(M6/2))^(1/3)))</f>
        <v>19869.999999999993</v>
      </c>
      <c r="K6" s="11">
        <f>M5*(J6/(O5+J6))</f>
        <v>3.3260796786072975</v>
      </c>
      <c r="L6" s="11">
        <f>IF(O6&gt;((2^P5)-1),((2^P5)-1),O6)</f>
        <v>4095</v>
      </c>
      <c r="M6" s="5">
        <f>(1/B8)*(B10-(1/(I6+273.15)))</f>
        <v>-25310.746073036058</v>
      </c>
      <c r="N6" s="5">
        <f>(((B9/(3*B8))*(B9/(3*B8))*(B9/(3*B8)))+((M6/2)*(M6/2)))^(1/2)</f>
        <v>26667.833862640571</v>
      </c>
      <c r="O6" s="5">
        <f>ROUND(K6*((2^P5)-1)/N5,0)</f>
        <v>4127</v>
      </c>
      <c r="P6" s="37"/>
    </row>
    <row r="7" spans="1:18" x14ac:dyDescent="0.25">
      <c r="A7" s="2"/>
      <c r="B7" s="3"/>
      <c r="C7" s="3"/>
      <c r="D7" s="3"/>
      <c r="E7" s="3"/>
      <c r="F7" s="4"/>
      <c r="H7" s="14">
        <v>1</v>
      </c>
      <c r="I7" s="11">
        <v>11</v>
      </c>
      <c r="J7" s="11">
        <f>EXP(((N7-(M7/2))^(1/3))-((N7+(M7/2))^(1/3)))</f>
        <v>18944.309021567711</v>
      </c>
      <c r="K7" s="11">
        <f>M5*(J7/(O5+J7))</f>
        <v>3.272544700834187</v>
      </c>
      <c r="L7" s="11">
        <f>IF(O7&gt;((2^P5)-1),((2^P5)-1),O7)</f>
        <v>4061</v>
      </c>
      <c r="M7" s="5">
        <f>(1/B8)*(B10-(1/(I7+273.15)))</f>
        <v>-25179.459348420951</v>
      </c>
      <c r="N7" s="5">
        <f>(((B9/(3*B8))*(B9/(3*B8))*(B9/(3*B8)))+((M7/2)*(M7/2)))^(1/2)</f>
        <v>26636.745099611318</v>
      </c>
      <c r="O7" s="5">
        <f>ROUND(K7*((2^P5)-1)/N5,0)</f>
        <v>4061</v>
      </c>
      <c r="P7" s="37">
        <f>L6-L7</f>
        <v>34</v>
      </c>
    </row>
    <row r="8" spans="1:18" x14ac:dyDescent="0.25">
      <c r="A8" s="16" t="s">
        <v>7</v>
      </c>
      <c r="B8" s="11">
        <f>((F10-F9)/(D10-D9))*(1/(D8+D9+D10))</f>
        <v>9.4670563058903297E-8</v>
      </c>
      <c r="C8" s="3"/>
      <c r="D8" s="5">
        <f>LN(B6)</f>
        <v>9.8969663355458621</v>
      </c>
      <c r="E8" s="5">
        <f>1/(A6+273.15)</f>
        <v>3.5316969803990822E-3</v>
      </c>
      <c r="F8" s="6"/>
      <c r="H8" s="14">
        <v>2</v>
      </c>
      <c r="I8" s="11">
        <v>12</v>
      </c>
      <c r="J8" s="11">
        <f>EXP(((N8-(M8/2))^(1/3))-((N8+(M8/2))^(1/3)))</f>
        <v>18066.913124086561</v>
      </c>
      <c r="K8" s="11">
        <f>M5*(J8/(O5+J8))</f>
        <v>3.2185429591439174</v>
      </c>
      <c r="L8" s="11">
        <f>IF(O8&gt;((2^P5)-1),((2^P5)-1),O8)</f>
        <v>3994</v>
      </c>
      <c r="M8" s="5">
        <f>(1/B8)*(B10-(1/(I8+273.15)))</f>
        <v>-25049.093449508917</v>
      </c>
      <c r="N8" s="5">
        <f>(((B9/(3*B8))*(B9/(3*B8))*(B9/(3*B8)))+((M8/2)*(M8/2)))^(1/2)</f>
        <v>26605.998701280303</v>
      </c>
      <c r="O8" s="5">
        <f>ROUND(K8*((2^P5)-1)/N5,0)</f>
        <v>3994</v>
      </c>
      <c r="P8" s="37">
        <f t="shared" ref="P8:P37" si="0">L7-L8</f>
        <v>67</v>
      </c>
    </row>
    <row r="9" spans="1:18" x14ac:dyDescent="0.25">
      <c r="A9" s="16" t="s">
        <v>6</v>
      </c>
      <c r="B9" s="11">
        <f>F9-(B8*((D8*D8)+(D9*D8)+(D9*D9)))</f>
        <v>2.3283985926066879E-4</v>
      </c>
      <c r="C9" s="3"/>
      <c r="D9" s="5">
        <f>LN(D6)</f>
        <v>9.2103403719761836</v>
      </c>
      <c r="E9" s="5">
        <f>1/(C6+273.15)</f>
        <v>3.3540164346805303E-3</v>
      </c>
      <c r="F9" s="6">
        <f>(E9-E8)/(D9-D8)</f>
        <v>2.5877341543394892E-4</v>
      </c>
      <c r="H9" s="14">
        <v>3</v>
      </c>
      <c r="I9" s="11">
        <v>13</v>
      </c>
      <c r="J9" s="11">
        <f t="shared" ref="J9:J37" si="1">EXP(((N9-(M9/2))^(1/3))-((N9+(M9/2))^(1/3)))</f>
        <v>17235.043397582805</v>
      </c>
      <c r="K9" s="11">
        <f>M5*(J9/(O5+J9))</f>
        <v>3.1641299677738841</v>
      </c>
      <c r="L9" s="11">
        <f>IF(O9&gt;((2^P5)-1),((2^P5)-1),O9)</f>
        <v>3926</v>
      </c>
      <c r="M9" s="5">
        <f>(1/B8)*(B10-(1/(I9+273.15)))</f>
        <v>-24919.638722352334</v>
      </c>
      <c r="N9" s="5">
        <f>(((B9/(3*B8))*(B9/(3*B8))*(B9/(3*B8)))+((M9/2)*(M9/2)))^(1/2)</f>
        <v>26575.590205019194</v>
      </c>
      <c r="O9" s="5">
        <f>ROUND(K9*((2^P5)-1)/N5,0)</f>
        <v>3926</v>
      </c>
      <c r="P9" s="37">
        <f t="shared" si="0"/>
        <v>68</v>
      </c>
    </row>
    <row r="10" spans="1:18" ht="15.75" thickBot="1" x14ac:dyDescent="0.3">
      <c r="A10" s="17" t="s">
        <v>5</v>
      </c>
      <c r="B10" s="18">
        <f>E8-((B9+(D8*D8*B8))*D8)</f>
        <v>1.135514398223833E-3</v>
      </c>
      <c r="C10" s="7"/>
      <c r="D10" s="8">
        <f>LN(F6)</f>
        <v>8.5811065171598901</v>
      </c>
      <c r="E10" s="8">
        <f>1/(E6+273.15)</f>
        <v>3.1933578157432542E-3</v>
      </c>
      <c r="F10" s="9">
        <f>(E10-E8)/(D10-D8)</f>
        <v>2.5712401878099251E-4</v>
      </c>
      <c r="H10" s="14">
        <v>4</v>
      </c>
      <c r="I10" s="11">
        <v>14</v>
      </c>
      <c r="J10" s="11">
        <f t="shared" si="1"/>
        <v>16446.103129920615</v>
      </c>
      <c r="K10" s="11">
        <f>M5*(J10/(O5+J10))</f>
        <v>3.1093622847053428</v>
      </c>
      <c r="L10" s="11">
        <f>IF(O10&gt;((2^P5)-1),((2^P5)-1),O10)</f>
        <v>3858</v>
      </c>
      <c r="M10" s="5">
        <f>(1/B8)*(B10-(1/(I10+273.15)))</f>
        <v>-24791.085647483105</v>
      </c>
      <c r="N10" s="5">
        <f>(((B9/(3*B8))*(B9/(3*B8))*(B9/(3*B8)))+((M10/2)*(M10/2)))^(1/2)</f>
        <v>26545.515216834319</v>
      </c>
      <c r="O10" s="5">
        <f>ROUND(K10*((2^P5)-1)/N5,0)</f>
        <v>3858</v>
      </c>
      <c r="P10" s="37">
        <f t="shared" si="0"/>
        <v>68</v>
      </c>
    </row>
    <row r="11" spans="1:18" x14ac:dyDescent="0.25">
      <c r="H11" s="14">
        <v>5</v>
      </c>
      <c r="I11" s="11">
        <v>15</v>
      </c>
      <c r="J11" s="11">
        <f t="shared" si="1"/>
        <v>15697.656302166763</v>
      </c>
      <c r="K11" s="11">
        <f>M5*(J11/(O5+J11))</f>
        <v>3.0542972708455087</v>
      </c>
      <c r="L11" s="11">
        <f>IF(O11&gt;((2^P5)-1),((2^P5)-1),O11)</f>
        <v>3790</v>
      </c>
      <c r="M11" s="5">
        <f>(1/B8)*(B10-(1/(I11+273.15)))</f>
        <v>-24663.424837579132</v>
      </c>
      <c r="N11" s="5">
        <f>(((B9/(3*B8))*(B9/(3*B8))*(B9/(3*B8)))+((M11/2)*(M11/2)))^(1/2)</f>
        <v>26515.769410139703</v>
      </c>
      <c r="O11" s="5">
        <f>ROUND(K11*((2^P5)-1)/N5,0)</f>
        <v>3790</v>
      </c>
      <c r="P11" s="37">
        <f t="shared" si="0"/>
        <v>68</v>
      </c>
    </row>
    <row r="12" spans="1:18" x14ac:dyDescent="0.25">
      <c r="H12" s="14">
        <v>6</v>
      </c>
      <c r="I12" s="11">
        <v>16</v>
      </c>
      <c r="J12" s="11">
        <f t="shared" si="1"/>
        <v>14987.416903552872</v>
      </c>
      <c r="K12" s="11">
        <f>M5*(J12/(O5+J12))</f>
        <v>2.9989928453592709</v>
      </c>
      <c r="L12" s="11">
        <f>IF(O12&gt;((2^P5)-1),((2^P5)-1),O12)</f>
        <v>3721</v>
      </c>
      <c r="M12" s="5">
        <f>(1/B8)*(B10-(1/(I12+273.15)))</f>
        <v>-24536.647035179252</v>
      </c>
      <c r="N12" s="5">
        <f>(((B9/(3*B8))*(B9/(3*B8))*(B9/(3*B8)))+((M12/2)*(M12/2)))^(1/2)</f>
        <v>26486.348524555331</v>
      </c>
      <c r="O12" s="5">
        <f>ROUND(K12*((2^P5)-1)/N5,0)</f>
        <v>3721</v>
      </c>
      <c r="P12" s="37">
        <f t="shared" si="0"/>
        <v>69</v>
      </c>
    </row>
    <row r="13" spans="1:18" x14ac:dyDescent="0.25">
      <c r="H13" s="14">
        <v>7</v>
      </c>
      <c r="I13" s="11">
        <v>17</v>
      </c>
      <c r="J13" s="11">
        <f t="shared" si="1"/>
        <v>14313.239004144778</v>
      </c>
      <c r="K13" s="11">
        <f>M5*(J13/(O5+J13))</f>
        <v>2.943507239349052</v>
      </c>
      <c r="L13" s="11">
        <f>IF(O13&gt;((2^P5)-1),((2^P5)-1),O13)</f>
        <v>3653</v>
      </c>
      <c r="M13" s="5">
        <f>(1/B8)*(B10-(1/(I13+273.15)))</f>
        <v>-24410.743110445404</v>
      </c>
      <c r="N13" s="5">
        <f>(((B9/(3*B8))*(B9/(3*B8))*(B9/(3*B8)))+((M13/2)*(M13/2)))^(1/2)</f>
        <v>26457.248364730054</v>
      </c>
      <c r="O13" s="5">
        <f>ROUND(K13*((2^P5)-1)/N5,0)</f>
        <v>3653</v>
      </c>
      <c r="P13" s="37">
        <f t="shared" si="0"/>
        <v>68</v>
      </c>
    </row>
    <row r="14" spans="1:18" x14ac:dyDescent="0.25">
      <c r="H14" s="14">
        <v>8</v>
      </c>
      <c r="I14" s="11">
        <v>18</v>
      </c>
      <c r="J14" s="11">
        <f t="shared" si="1"/>
        <v>13673.107528257617</v>
      </c>
      <c r="K14" s="11">
        <f>M5*(J14/(O5+J14))</f>
        <v>2.8878987500767672</v>
      </c>
      <c r="L14" s="11">
        <f>IF(O14&gt;((2^P5)-1),((2^P5)-1),O14)</f>
        <v>3584</v>
      </c>
      <c r="M14" s="5">
        <f>(1/B8)*(B10-(1/(I14+273.15)))</f>
        <v>-24285.704058970936</v>
      </c>
      <c r="N14" s="5">
        <f>(((B9/(3*B8))*(B9/(3*B8))*(B9/(3*B8)))+((M14/2)*(M14/2)))^(1/2)</f>
        <v>26428.464799188601</v>
      </c>
      <c r="O14" s="5">
        <f>ROUND(K14*((2^P5)-1)/N5,0)</f>
        <v>3584</v>
      </c>
      <c r="P14" s="37">
        <f t="shared" si="0"/>
        <v>69</v>
      </c>
    </row>
    <row r="15" spans="1:18" x14ac:dyDescent="0.25">
      <c r="H15" s="14">
        <v>9</v>
      </c>
      <c r="I15" s="11">
        <v>19</v>
      </c>
      <c r="J15" s="11">
        <f t="shared" si="1"/>
        <v>13065.129676177832</v>
      </c>
      <c r="K15" s="11">
        <f>M5*(J15/(O5+J15))</f>
        <v>2.8322254978847532</v>
      </c>
      <c r="L15" s="11">
        <f>IF(O15&gt;((2^P5)-1),((2^P5)-1),O15)</f>
        <v>3515</v>
      </c>
      <c r="M15" s="5">
        <f>(1/B8)*(B10-(1/(I15+273.15)))</f>
        <v>-24161.520999633889</v>
      </c>
      <c r="N15" s="5">
        <f>(((B9/(3*B8))*(B9/(3*B8))*(B9/(3*B8)))+((M15/2)*(M15/2)))^(1/2)</f>
        <v>26399.993759202083</v>
      </c>
      <c r="O15" s="5">
        <f>ROUND(K15*((2^P5)-1)/N5,0)</f>
        <v>3515</v>
      </c>
      <c r="P15" s="37">
        <f t="shared" si="0"/>
        <v>69</v>
      </c>
    </row>
    <row r="16" spans="1:18" x14ac:dyDescent="0.25">
      <c r="H16" s="14">
        <v>10</v>
      </c>
      <c r="I16" s="11">
        <v>20</v>
      </c>
      <c r="J16" s="11">
        <f t="shared" si="1"/>
        <v>12487.52694588876</v>
      </c>
      <c r="K16" s="11">
        <f>M5*(J16/(O5+J16))</f>
        <v>2.7765451879028809</v>
      </c>
      <c r="L16" s="11">
        <f>IF(O16&gt;((2^P5)-1),((2^P5)-1),O16)</f>
        <v>3445</v>
      </c>
      <c r="M16" s="5">
        <f>(1/B8)*(B10-(1/(I16+273.15)))</f>
        <v>-24038.185172494268</v>
      </c>
      <c r="N16" s="5">
        <f>(((B9/(3*B8))*(B9/(3*B8))*(B9/(3*B8)))+((M16/2)*(M16/2)))^(1/2)</f>
        <v>26371.831237681476</v>
      </c>
      <c r="O16" s="5">
        <f>ROUND(K16*((2^P5)-1)/N5,0)</f>
        <v>3445</v>
      </c>
      <c r="P16" s="37">
        <f t="shared" si="0"/>
        <v>70</v>
      </c>
      <c r="Q16">
        <v>35</v>
      </c>
      <c r="R16">
        <f>Q16/P16</f>
        <v>0.5</v>
      </c>
    </row>
    <row r="17" spans="8:18" x14ac:dyDescent="0.25">
      <c r="H17" s="14">
        <v>11</v>
      </c>
      <c r="I17" s="11">
        <v>21</v>
      </c>
      <c r="J17" s="11">
        <f t="shared" si="1"/>
        <v>11938.627710291121</v>
      </c>
      <c r="K17" s="11">
        <f>M5*(J17/(O5+J17))</f>
        <v>2.7209148785297241</v>
      </c>
      <c r="L17" s="11">
        <f>IF(O17&gt;((2^P5)-1),((2^P5)-1),O17)</f>
        <v>3376</v>
      </c>
      <c r="M17" s="5">
        <f>(1/B8)*(B10-(1/(I17+273.15)))</f>
        <v>-23915.687936734143</v>
      </c>
      <c r="N17" s="5">
        <f>(((B9/(3*B8))*(B9/(3*B8))*(B9/(3*B8)))+((M17/2)*(M17/2)))^(1/2)</f>
        <v>26343.973288093508</v>
      </c>
      <c r="O17" s="5">
        <f>ROUND(K17*((2^P5)-1)/N5,0)</f>
        <v>3376</v>
      </c>
      <c r="P17" s="37">
        <f t="shared" si="0"/>
        <v>69</v>
      </c>
    </row>
    <row r="18" spans="8:18" x14ac:dyDescent="0.25">
      <c r="H18" s="14">
        <v>12</v>
      </c>
      <c r="I18" s="11">
        <v>22</v>
      </c>
      <c r="J18" s="11">
        <f t="shared" si="1"/>
        <v>11416.860308906334</v>
      </c>
      <c r="K18" s="11">
        <f>M5*(J18/(O5+J18))</f>
        <v>2.6653907585507675</v>
      </c>
      <c r="L18" s="11">
        <f>IF(O18&gt;((2^P5)-1),((2^P5)-1),O18)</f>
        <v>3308</v>
      </c>
      <c r="M18" s="5">
        <f>(1/B8)*(B10-(1/(I18+273.15)))</f>
        <v>-23794.020768639679</v>
      </c>
      <c r="N18" s="5">
        <f>(((B9/(3*B8))*(B9/(3*B8))*(B9/(3*B8)))+((M18/2)*(M18/2)))^(1/2)</f>
        <v>26316.416023398509</v>
      </c>
      <c r="O18" s="5">
        <f>ROUND(K18*((2^P5)-1)/N5,0)</f>
        <v>3308</v>
      </c>
      <c r="P18" s="37">
        <f t="shared" si="0"/>
        <v>68</v>
      </c>
    </row>
    <row r="19" spans="8:18" x14ac:dyDescent="0.25">
      <c r="H19" s="14">
        <v>13</v>
      </c>
      <c r="I19" s="11">
        <v>23</v>
      </c>
      <c r="J19" s="11">
        <f t="shared" si="1"/>
        <v>10920.746616222203</v>
      </c>
      <c r="K19" s="11">
        <f>M5*(J19/(O5+J19))</f>
        <v>2.6100279346039503</v>
      </c>
      <c r="L19" s="11">
        <f>IF(O19&gt;((2^P5)-1),((2^P5)-1),O19)</f>
        <v>3239</v>
      </c>
      <c r="M19" s="5">
        <f>(1/B8)*(B10-(1/(I19+273.15)))</f>
        <v>-23673.175259624022</v>
      </c>
      <c r="N19" s="5">
        <f>(((B9/(3*B8))*(B9/(3*B8))*(B9/(3*B8)))+((M19/2)*(M19/2)))^(1/2)</f>
        <v>26289.155615009589</v>
      </c>
      <c r="O19" s="5">
        <f>ROUND(K19*((2^P5)-1)/N5,0)</f>
        <v>3239</v>
      </c>
      <c r="P19" s="37">
        <f t="shared" si="0"/>
        <v>69</v>
      </c>
    </row>
    <row r="20" spans="8:18" x14ac:dyDescent="0.25">
      <c r="H20" s="14">
        <v>14</v>
      </c>
      <c r="I20" s="11">
        <v>24</v>
      </c>
      <c r="J20" s="11">
        <f t="shared" si="1"/>
        <v>10448.896051808988</v>
      </c>
      <c r="K20" s="11">
        <f>M5*(J20/(O5+J20))</f>
        <v>2.5548802305356326</v>
      </c>
      <c r="L20" s="11">
        <f>IF(O20&gt;((2^P5)-1),((2^P5)-1),O20)</f>
        <v>3170</v>
      </c>
      <c r="M20" s="5">
        <f>(1/B8)*(B10-(1/(I20+273.15)))</f>
        <v>-23553.143114290117</v>
      </c>
      <c r="N20" s="5">
        <f>(((B9/(3*B8))*(B9/(3*B8))*(B9/(3*B8)))+((M20/2)*(M20/2)))^(1/2)</f>
        <v>26262.188291772825</v>
      </c>
      <c r="O20" s="5">
        <f>ROUND(K20*((2^P5)-1)/N5,0)</f>
        <v>3170</v>
      </c>
      <c r="P20" s="37">
        <f t="shared" si="0"/>
        <v>69</v>
      </c>
    </row>
    <row r="21" spans="8:18" x14ac:dyDescent="0.25">
      <c r="H21" s="14">
        <v>15</v>
      </c>
      <c r="I21" s="11">
        <v>25</v>
      </c>
      <c r="J21" s="11">
        <f t="shared" si="1"/>
        <v>10000.000000000009</v>
      </c>
      <c r="K21" s="11">
        <f>M5*(J21/(O5+J21))</f>
        <v>2.5000000000000009</v>
      </c>
      <c r="L21" s="11">
        <f>IF(O21&gt;((2^P5)-1),((2^P5)-1),O21)</f>
        <v>3102</v>
      </c>
      <c r="M21" s="5">
        <f>(1/B8)*(B10-(1/(I21+273.15)))</f>
        <v>-23433.916148532491</v>
      </c>
      <c r="N21" s="5">
        <f>(((B9/(3*B8))*(B9/(3*B8))*(B9/(3*B8)))+((M21/2)*(M21/2)))^(1/2)</f>
        <v>26235.510338967768</v>
      </c>
      <c r="O21" s="5">
        <f>ROUND(K21*((2^P5)-1)/N5,0)</f>
        <v>3102</v>
      </c>
      <c r="P21" s="37">
        <f t="shared" si="0"/>
        <v>68</v>
      </c>
    </row>
    <row r="22" spans="8:18" x14ac:dyDescent="0.25">
      <c r="H22" s="14">
        <v>16</v>
      </c>
      <c r="I22" s="11">
        <v>26</v>
      </c>
      <c r="J22" s="11">
        <f t="shared" si="1"/>
        <v>9572.8266094207338</v>
      </c>
      <c r="K22" s="11">
        <f>M5*(J22/(O5+J22))</f>
        <v>2.4454379534566479</v>
      </c>
      <c r="L22" s="11">
        <f>IF(O22&gt;((2^P5)-1),((2^P5)-1),O22)</f>
        <v>3035</v>
      </c>
      <c r="M22" s="5">
        <f>(1/B8)*(B10-(1/(I22+273.15)))</f>
        <v>-23315.486287677133</v>
      </c>
      <c r="N22" s="5">
        <f>(((B9/(3*B8))*(B9/(3*B8))*(B9/(3*B8)))+((M22/2)*(M22/2)))^(1/2)</f>
        <v>26209.118097328013</v>
      </c>
      <c r="O22" s="5">
        <f>ROUND(K22*((2^P5)-1)/N5,0)</f>
        <v>3035</v>
      </c>
      <c r="P22" s="37">
        <f t="shared" si="0"/>
        <v>67</v>
      </c>
      <c r="Q22" s="39" t="s">
        <v>18</v>
      </c>
      <c r="R22">
        <f>ROUND(L21+((L22-L21)/2),0)</f>
        <v>3069</v>
      </c>
    </row>
    <row r="23" spans="8:18" x14ac:dyDescent="0.25">
      <c r="H23" s="14">
        <v>17</v>
      </c>
      <c r="I23" s="11">
        <v>27</v>
      </c>
      <c r="J23" s="11">
        <f>EXP(((N23-(M23/2))^(1/3))-((N23+(M23/2))^(1/3)))</f>
        <v>9166.215944932861</v>
      </c>
      <c r="K23" s="11">
        <f>M5*(J23/(O5+J23))</f>
        <v>2.3912430005141969</v>
      </c>
      <c r="L23" s="11">
        <f>IF(O23&gt;((2^P5)-1),((2^P5)-1),O23)</f>
        <v>2967</v>
      </c>
      <c r="M23" s="5">
        <f>(1/B8)*(B10-(1/(I23+273.15)))</f>
        <v>-23197.845564658568</v>
      </c>
      <c r="N23" s="5">
        <f>(((B9/(3*B8))*(B9/(3*B8))*(B9/(3*B8)))+((M23/2)*(M23/2)))^(1/2)</f>
        <v>26183.007962081228</v>
      </c>
      <c r="O23" s="5">
        <f>ROUND(K23*((2^P5)-1)/N5,0)</f>
        <v>2967</v>
      </c>
      <c r="P23" s="37">
        <f t="shared" si="0"/>
        <v>68</v>
      </c>
    </row>
    <row r="24" spans="8:18" x14ac:dyDescent="0.25">
      <c r="H24" s="14">
        <v>18</v>
      </c>
      <c r="I24" s="11">
        <v>28</v>
      </c>
      <c r="J24" s="11">
        <f t="shared" si="1"/>
        <v>8779.0754666373577</v>
      </c>
      <c r="K24" s="11">
        <f>M5*(J24/(O5+J24))</f>
        <v>2.3374621083540932</v>
      </c>
      <c r="L24" s="11">
        <f>IF(O24&gt;((2^P5)-1),((2^P5)-1),O24)</f>
        <v>2901</v>
      </c>
      <c r="M24" s="5">
        <f>(1/B8)*(B10-(1/(I24+273.15)))</f>
        <v>-23080.986118233181</v>
      </c>
      <c r="N24" s="5">
        <f>(((B9/(3*B8))*(B9/(3*B8))*(B9/(3*B8)))+((M24/2)*(M24/2)))^(1/2)</f>
        <v>26157.176382008241</v>
      </c>
      <c r="O24" s="5">
        <f>ROUND(K24*((2^P5)-1)/N5,0)</f>
        <v>2901</v>
      </c>
      <c r="P24" s="37">
        <f t="shared" si="0"/>
        <v>66</v>
      </c>
    </row>
    <row r="25" spans="8:18" x14ac:dyDescent="0.25">
      <c r="H25" s="14">
        <v>19</v>
      </c>
      <c r="I25" s="11">
        <v>29</v>
      </c>
      <c r="J25" s="11">
        <f t="shared" si="1"/>
        <v>8410.3758125174809</v>
      </c>
      <c r="K25" s="11">
        <f>M5*(J25/(O5+J25))</f>
        <v>2.2841401767581369</v>
      </c>
      <c r="L25" s="11">
        <f>IF(O25&gt;((2^P5)-1),((2^P5)-1),O25)</f>
        <v>2834</v>
      </c>
      <c r="M25" s="5">
        <f>(1/B8)*(B10-(1/(I25+273.15)))</f>
        <v>-22964.900191228113</v>
      </c>
      <c r="N25" s="5">
        <f>(((B9/(3*B8))*(B9/(3*B8))*(B9/(3*B8)))+((M25/2)*(M25/2)))^(1/2)</f>
        <v>26131.619858520804</v>
      </c>
      <c r="O25" s="5">
        <f>ROUND(K25*((2^P5)-1)/N5,0)</f>
        <v>2834</v>
      </c>
      <c r="P25" s="37">
        <f t="shared" si="0"/>
        <v>67</v>
      </c>
    </row>
    <row r="26" spans="8:18" x14ac:dyDescent="0.25">
      <c r="H26" s="14">
        <v>20</v>
      </c>
      <c r="I26" s="11">
        <v>30</v>
      </c>
      <c r="J26" s="11">
        <f t="shared" si="1"/>
        <v>8059.146863074202</v>
      </c>
      <c r="K26" s="11">
        <f>M5*(J26/(O5+J26))</f>
        <v>2.2313199300551831</v>
      </c>
      <c r="L26" s="11">
        <f>IF(O26&gt;((2^P5)-1),((2^P5)-1),O26)</f>
        <v>2769</v>
      </c>
      <c r="M26" s="5">
        <f>(1/B8)*(B10-(1/(I26+273.15)))</f>
        <v>-22849.580128824771</v>
      </c>
      <c r="N26" s="5">
        <f>(((B9/(3*B8))*(B9/(3*B8))*(B9/(3*B8)))+((M26/2)*(M26/2)))^(1/2)</f>
        <v>26106.33494475752</v>
      </c>
      <c r="O26" s="5">
        <f>ROUND(K26*((2^P5)-1)/N5,0)</f>
        <v>2769</v>
      </c>
      <c r="P26" s="37">
        <f t="shared" si="0"/>
        <v>65</v>
      </c>
    </row>
    <row r="27" spans="8:18" x14ac:dyDescent="0.25">
      <c r="H27" s="14">
        <v>21</v>
      </c>
      <c r="I27" s="11">
        <v>31</v>
      </c>
      <c r="J27" s="11">
        <f t="shared" si="1"/>
        <v>7724.4740679266033</v>
      </c>
      <c r="K27" s="11">
        <f>M5*(J27/(O5+J27))</f>
        <v>2.1790418260997821</v>
      </c>
      <c r="L27" s="11">
        <f>IF(O27&gt;((2^P5)-1),((2^P5)-1),O27)</f>
        <v>2704</v>
      </c>
      <c r="M27" s="5">
        <f>(1/B8)*(B10-(1/(I27+273.15)))</f>
        <v>-22735.018376876153</v>
      </c>
      <c r="N27" s="5">
        <f>(((B9/(3*B8))*(B9/(3*B8))*(B9/(3*B8)))+((M27/2)*(M27/2)))^(1/2)</f>
        <v>26081.318244697595</v>
      </c>
      <c r="O27" s="5">
        <f>ROUND(K27*((2^P5)-1)/N5,0)</f>
        <v>2704</v>
      </c>
      <c r="P27" s="37">
        <f t="shared" si="0"/>
        <v>65</v>
      </c>
    </row>
    <row r="28" spans="8:18" x14ac:dyDescent="0.25">
      <c r="H28" s="14">
        <v>22</v>
      </c>
      <c r="I28" s="11">
        <v>32</v>
      </c>
      <c r="J28" s="11">
        <f t="shared" si="1"/>
        <v>7405.4950158666461</v>
      </c>
      <c r="K28" s="11">
        <f>M5*(J28/(O5+J28))</f>
        <v>2.1273439822067348</v>
      </c>
      <c r="L28" s="11">
        <f>IF(O28&gt;((2^P5)-1),((2^P5)-1),O28)</f>
        <v>2640</v>
      </c>
      <c r="M28" s="5">
        <f>(1/B8)*(B10-(1/(I28+273.15)))</f>
        <v>-22621.207480257366</v>
      </c>
      <c r="N28" s="5">
        <f>(((B9/(3*B8))*(B9/(3*B8))*(B9/(3*B8)))+((M28/2)*(M28/2)))^(1/2)</f>
        <v>26056.566412292021</v>
      </c>
      <c r="O28" s="5">
        <f>ROUND(K28*((2^P5)-1)/N5,0)</f>
        <v>2640</v>
      </c>
      <c r="P28" s="37">
        <f t="shared" si="0"/>
        <v>64</v>
      </c>
    </row>
    <row r="29" spans="8:18" x14ac:dyDescent="0.25">
      <c r="H29" s="14">
        <v>23</v>
      </c>
      <c r="I29" s="11">
        <v>33</v>
      </c>
      <c r="J29" s="11">
        <f t="shared" si="1"/>
        <v>7101.3962312247786</v>
      </c>
      <c r="K29" s="11">
        <f>M5*(J29/(O5+J29))</f>
        <v>2.076262117785042</v>
      </c>
      <c r="L29" s="11">
        <f>IF(O29&gt;((2^P5)-1),((2^P5)-1),O29)</f>
        <v>2576</v>
      </c>
      <c r="M29" s="5">
        <f>(1/B8)*(B10-(1/(I29+273.15)))</f>
        <v>-22508.140081248373</v>
      </c>
      <c r="N29" s="5">
        <f>(((B9/(3*B8))*(B9/(3*B8))*(B9/(3*B8)))+((M29/2)*(M29/2)))^(1/2)</f>
        <v>26032.076150611701</v>
      </c>
      <c r="O29" s="5">
        <f>ROUND(K29*((2^P5)-1)/N5,0)</f>
        <v>2576</v>
      </c>
      <c r="P29" s="37">
        <f t="shared" si="0"/>
        <v>64</v>
      </c>
    </row>
    <row r="30" spans="8:18" x14ac:dyDescent="0.25">
      <c r="H30" s="14">
        <v>24</v>
      </c>
      <c r="I30" s="11">
        <v>34</v>
      </c>
      <c r="J30" s="11">
        <f t="shared" si="1"/>
        <v>6811.4101806908329</v>
      </c>
      <c r="K30" s="11">
        <f>M5*(J30/(O5+J30))</f>
        <v>2.0258295132535191</v>
      </c>
      <c r="L30" s="11">
        <f>IF(O30&gt;((2^P5)-1),((2^P5)-1),O30)</f>
        <v>2514</v>
      </c>
      <c r="M30" s="5">
        <f>(1/B8)*(B10-(1/(I30+273.15)))</f>
        <v>-22395.808917948372</v>
      </c>
      <c r="N30" s="5">
        <f>(((B9/(3*B8))*(B9/(3*B8))*(B9/(3*B8)))+((M30/2)*(M30/2)))^(1/2)</f>
        <v>26007.844211012292</v>
      </c>
      <c r="O30" s="5">
        <f>ROUND(K30*((2^P5)-1)/N5,0)</f>
        <v>2514</v>
      </c>
      <c r="P30" s="37">
        <f t="shared" si="0"/>
        <v>62</v>
      </c>
    </row>
    <row r="31" spans="8:18" x14ac:dyDescent="0.25">
      <c r="H31" s="14">
        <v>25</v>
      </c>
      <c r="I31" s="11">
        <v>35</v>
      </c>
      <c r="J31" s="11">
        <f t="shared" si="1"/>
        <v>6534.8124759013526</v>
      </c>
      <c r="K31" s="11">
        <f>M5*(J31/(O5+J31))</f>
        <v>1.9760769846726443</v>
      </c>
      <c r="L31" s="11">
        <f>IF(O31&gt;((2^P5)-1),((2^P5)-1),O31)</f>
        <v>2452</v>
      </c>
      <c r="M31" s="5">
        <f>(1/B8)*(B10-(1/(I31+273.15)))</f>
        <v>-22284.206822721066</v>
      </c>
      <c r="N31" s="5">
        <f>(((B9/(3*B8))*(B9/(3*B8))*(B9/(3*B8)))+((M31/2)*(M31/2)))^(1/2)</f>
        <v>25983.867392315249</v>
      </c>
      <c r="O31" s="5">
        <f>ROUND(K31*((2^P5)-1)/N5,0)</f>
        <v>2452</v>
      </c>
      <c r="P31" s="37">
        <f t="shared" si="0"/>
        <v>62</v>
      </c>
    </row>
    <row r="32" spans="8:18" x14ac:dyDescent="0.25">
      <c r="H32" s="14">
        <v>26</v>
      </c>
      <c r="I32" s="11">
        <v>36</v>
      </c>
      <c r="J32" s="11">
        <f t="shared" si="1"/>
        <v>6270.9192581886273</v>
      </c>
      <c r="K32" s="11">
        <f>M5*(J32/(O5+J32))</f>
        <v>1.9270328733985562</v>
      </c>
      <c r="L32" s="11">
        <f>IF(O32&gt;((2^P5)-1),((2^P5)-1),O32)</f>
        <v>2391</v>
      </c>
      <c r="M32" s="5">
        <f>(1/B8)*(B10-(1/(I32+273.15)))</f>
        <v>-22173.326720670062</v>
      </c>
      <c r="N32" s="5">
        <f>(((B9/(3*B8))*(B9/(3*B8))*(B9/(3*B8)))+((M32/2)*(M32/2)))^(1/2)</f>
        <v>25960.142540004799</v>
      </c>
      <c r="O32" s="5">
        <f>ROUND(K32*((2^P5)-1)/N5,0)</f>
        <v>2391</v>
      </c>
      <c r="P32" s="37">
        <f t="shared" si="0"/>
        <v>61</v>
      </c>
    </row>
    <row r="33" spans="8:16" x14ac:dyDescent="0.25">
      <c r="H33" s="14">
        <v>27</v>
      </c>
      <c r="I33" s="11">
        <v>37</v>
      </c>
      <c r="J33" s="11">
        <f t="shared" si="1"/>
        <v>6019.0847528887998</v>
      </c>
      <c r="K33" s="11">
        <f>M5*(J33/(O5+J33))</f>
        <v>1.8787230499555689</v>
      </c>
      <c r="L33" s="11">
        <f>IF(O33&gt;((2^P5)-1),((2^P5)-1),O33)</f>
        <v>2331</v>
      </c>
      <c r="M33" s="5">
        <f>(1/B8)*(B10-(1/(I33+273.15)))</f>
        <v>-22063.161628143811</v>
      </c>
      <c r="N33" s="5">
        <f>(((B9/(3*B8))*(B9/(3*B8))*(B9/(3*B8)))+((M33/2)*(M33/2)))^(1/2)</f>
        <v>25936.666545440472</v>
      </c>
      <c r="O33" s="5">
        <f>ROUND(K33*((2^P5)-1)/N5,0)</f>
        <v>2331</v>
      </c>
      <c r="P33" s="37">
        <f t="shared" si="0"/>
        <v>60</v>
      </c>
    </row>
    <row r="34" spans="8:16" x14ac:dyDescent="0.25">
      <c r="H34" s="14">
        <v>28</v>
      </c>
      <c r="I34" s="11">
        <v>38</v>
      </c>
      <c r="J34" s="11">
        <f t="shared" si="1"/>
        <v>5778.6989815253819</v>
      </c>
      <c r="K34" s="11">
        <f>M5*(J34/(O5+J34))</f>
        <v>1.8311709312318523</v>
      </c>
      <c r="L34" s="11">
        <f>IF(O34&gt;((2^P5)-1),((2^P5)-1),O34)</f>
        <v>2272</v>
      </c>
      <c r="M34" s="5">
        <f>(1/B8)*(B10-(1/(I34+273.15)))</f>
        <v>-21953.704651269345</v>
      </c>
      <c r="N34" s="5">
        <f>(((B9/(3*B8))*(B9/(3*B8))*(B9/(3*B8)))+((M34/2)*(M34/2)))^(1/2)</f>
        <v>25913.436345084821</v>
      </c>
      <c r="O34" s="5">
        <f>ROUND(K34*((2^P5)-1)/N5,0)</f>
        <v>2272</v>
      </c>
      <c r="P34" s="37">
        <f t="shared" si="0"/>
        <v>59</v>
      </c>
    </row>
    <row r="35" spans="8:16" x14ac:dyDescent="0.25">
      <c r="H35" s="14">
        <v>29</v>
      </c>
      <c r="I35" s="11">
        <v>39</v>
      </c>
      <c r="J35" s="11">
        <f t="shared" si="1"/>
        <v>5549.1856210364404</v>
      </c>
      <c r="K35" s="11">
        <f>M5*(J35/(O5+J35))</f>
        <v>1.7843975100306753</v>
      </c>
      <c r="L35" s="11">
        <f>IF(O35&gt;((2^P5)-1),((2^P5)-1),O35)</f>
        <v>2214</v>
      </c>
      <c r="M35" s="5">
        <f>(1/B8)*(B10-(1/(I35+273.15)))</f>
        <v>-21844.948984514209</v>
      </c>
      <c r="N35" s="5">
        <f>(((B9/(3*B8))*(B9/(3*B8))*(B9/(3*B8)))+((M35/2)*(M35/2)))^(1/2)</f>
        <v>25890.448919746035</v>
      </c>
      <c r="O35" s="5">
        <f>ROUND(K35*((2^P5)-1)/N5,0)</f>
        <v>2214</v>
      </c>
      <c r="P35" s="37">
        <f t="shared" si="0"/>
        <v>58</v>
      </c>
    </row>
    <row r="36" spans="8:16" x14ac:dyDescent="0.25">
      <c r="H36" s="14">
        <v>30</v>
      </c>
      <c r="I36" s="11">
        <v>40</v>
      </c>
      <c r="J36" s="11">
        <f>EXP(((N36-(M36/2))^(1/3))-((N36+(M36/2))^(1/3)))</f>
        <v>5329.99999999999</v>
      </c>
      <c r="K36" s="11">
        <f>M5*(J36/(O5+J36))</f>
        <v>1.7384213959556405</v>
      </c>
      <c r="L36" s="11">
        <f>IF(O36&gt;((2^P5)-1),((2^P5)-1),O36)</f>
        <v>2157</v>
      </c>
      <c r="M36" s="5">
        <f>(1/B8)*(B10-(1/(I36+273.15)))</f>
        <v>-21736.887909275949</v>
      </c>
      <c r="N36" s="5">
        <f>(((B9/(3*B8))*(B9/(3*B8))*(B9/(3*B8)))+((M36/2)*(M36/2)))^(1/2)</f>
        <v>25867.701293835104</v>
      </c>
      <c r="O36" s="5">
        <f>ROUND(K36*((2^P5)-1)/N5,0)</f>
        <v>2157</v>
      </c>
      <c r="P36" s="37">
        <f t="shared" si="0"/>
        <v>57</v>
      </c>
    </row>
    <row r="37" spans="8:16" ht="15.75" thickBot="1" x14ac:dyDescent="0.3">
      <c r="H37" s="19">
        <v>31</v>
      </c>
      <c r="I37" s="18">
        <v>41</v>
      </c>
      <c r="J37" s="18">
        <f t="shared" si="1"/>
        <v>5120.6272225366638</v>
      </c>
      <c r="K37" s="18">
        <f>M5*(J37/(O5+J37))</f>
        <v>1.6932588665715476</v>
      </c>
      <c r="L37" s="18">
        <f>IF(O37&gt;((2^P5)-1),((2^P5)-1),O37)</f>
        <v>2101</v>
      </c>
      <c r="M37" s="8">
        <f>(1/B8)*(B10-(1/(I37+273.15)))</f>
        <v>-21629.514792498539</v>
      </c>
      <c r="N37" s="8">
        <f>(((B9/(3*B8))*(B9/(3*B8))*(B9/(3*B8)))+((M37/2)*(M37/2)))^(1/2)</f>
        <v>25845.190534637193</v>
      </c>
      <c r="O37" s="8">
        <f>ROUND(K37*((2^P5)-1)/N5,0)</f>
        <v>2101</v>
      </c>
      <c r="P37" s="38">
        <f t="shared" si="0"/>
        <v>56</v>
      </c>
    </row>
    <row r="38" spans="8:16" x14ac:dyDescent="0.25">
      <c r="H38" s="3"/>
      <c r="I38" s="3"/>
      <c r="J38" s="3"/>
      <c r="K38" s="3"/>
      <c r="L38" s="3"/>
      <c r="M38" s="3"/>
      <c r="N38" s="5"/>
      <c r="O38" s="3"/>
      <c r="P38" s="3"/>
    </row>
    <row r="39" spans="8:16" x14ac:dyDescent="0.25">
      <c r="H39" s="3"/>
      <c r="I39" s="3"/>
      <c r="J39" s="3"/>
      <c r="K39" s="3"/>
      <c r="L39" s="3"/>
      <c r="M39" s="3"/>
      <c r="N39" s="5"/>
      <c r="O39" s="3"/>
      <c r="P39" s="3"/>
    </row>
    <row r="40" spans="8:16" x14ac:dyDescent="0.25">
      <c r="N40" s="1"/>
    </row>
    <row r="41" spans="8:16" x14ac:dyDescent="0.25">
      <c r="N41" s="1"/>
    </row>
  </sheetData>
  <mergeCells count="10">
    <mergeCell ref="K4:K5"/>
    <mergeCell ref="L4:L5"/>
    <mergeCell ref="H1:P2"/>
    <mergeCell ref="A4:B4"/>
    <mergeCell ref="C4:D4"/>
    <mergeCell ref="E4:F4"/>
    <mergeCell ref="A1:F2"/>
    <mergeCell ref="H4:H5"/>
    <mergeCell ref="I4:I5"/>
    <mergeCell ref="J4:J5"/>
  </mergeCells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Лист1</vt:lpstr>
      <vt:lpstr>Лист2</vt:lpstr>
      <vt:lpstr>Лист3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2017-03-07T01:12:30Z</dcterms:modified>
</cp:coreProperties>
</file>